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s" sheetId="1" r:id="rId1"/>
    <sheet name="Casing" sheetId="2" r:id="rId2"/>
    <sheet name="Liner" sheetId="3" r:id="rId3"/>
    <sheet name="Open Hole" sheetId="4" r:id="rId4"/>
    <sheet name="BHA" sheetId="5" r:id="rId5"/>
    <sheet name="Drill Pipe" sheetId="6" r:id="rId6"/>
    <sheet name="Pumps" sheetId="7" r:id="rId7"/>
  </sheets>
  <definedNames/>
  <calcPr fullCalcOnLoad="1"/>
</workbook>
</file>

<file path=xl/sharedStrings.xml><?xml version="1.0" encoding="utf-8"?>
<sst xmlns="http://schemas.openxmlformats.org/spreadsheetml/2006/main" count="140" uniqueCount="115">
  <si>
    <t>Annular Calculations</t>
  </si>
  <si>
    <t>Bit Size</t>
  </si>
  <si>
    <t>Annular Volume</t>
  </si>
  <si>
    <t>BBLs</t>
  </si>
  <si>
    <t>Hole Size</t>
  </si>
  <si>
    <t>% Washout</t>
  </si>
  <si>
    <t>Down Pipe Volume</t>
  </si>
  <si>
    <t>Total Hole Volume</t>
  </si>
  <si>
    <t>Projected Depth</t>
  </si>
  <si>
    <t>Circulating Volume</t>
  </si>
  <si>
    <t>BHA Disp</t>
  </si>
  <si>
    <t>Depth 24 Hrs Ago</t>
  </si>
  <si>
    <t>Strokes</t>
  </si>
  <si>
    <t>BHA Cap.</t>
  </si>
  <si>
    <t>Current TD</t>
  </si>
  <si>
    <t>SPM #1</t>
  </si>
  <si>
    <t>Bottoms up</t>
  </si>
  <si>
    <t>Drill String Disp.</t>
  </si>
  <si>
    <t>Time Off Bottom</t>
  </si>
  <si>
    <t>SPM #2</t>
  </si>
  <si>
    <t>Down Pipe</t>
  </si>
  <si>
    <t>Drill String Cap.</t>
  </si>
  <si>
    <t>Feet Last 24 hrs</t>
  </si>
  <si>
    <t>SPM #3</t>
  </si>
  <si>
    <t>Full Circ.</t>
  </si>
  <si>
    <t>Days ROP</t>
  </si>
  <si>
    <t>Total SPM</t>
  </si>
  <si>
    <t>Open Hole</t>
  </si>
  <si>
    <t>Bottoms Up</t>
  </si>
  <si>
    <t>Min</t>
  </si>
  <si>
    <t>Feet Remaining</t>
  </si>
  <si>
    <t>Days Left to Drill</t>
  </si>
  <si>
    <t>Annular Velocity</t>
  </si>
  <si>
    <t>stk/1000'</t>
  </si>
  <si>
    <t>AV @ BHA</t>
  </si>
  <si>
    <t>Ft/min</t>
  </si>
  <si>
    <t>Stk/100'</t>
  </si>
  <si>
    <t>&lt;--------</t>
  </si>
  <si>
    <t>AV @ Drill Pipe OH</t>
  </si>
  <si>
    <t>AV @ Drill Pipe Casing</t>
  </si>
  <si>
    <t>Casing Calculations</t>
  </si>
  <si>
    <t>Casing ID</t>
  </si>
  <si>
    <t>Shoe Set @</t>
  </si>
  <si>
    <t>Capacity</t>
  </si>
  <si>
    <t>BBLS</t>
  </si>
  <si>
    <t>Liner Calculations</t>
  </si>
  <si>
    <t>Top of Liner</t>
  </si>
  <si>
    <t>Bottom of Liner</t>
  </si>
  <si>
    <t>ID of Liner</t>
  </si>
  <si>
    <t>Liner Capacity</t>
  </si>
  <si>
    <t>Open Hole Calculations</t>
  </si>
  <si>
    <t>Bottom of Liner/Casing</t>
  </si>
  <si>
    <t>Total Depth</t>
  </si>
  <si>
    <t>Open Hole Capacity</t>
  </si>
  <si>
    <t>BBL/ft</t>
  </si>
  <si>
    <t>BBL/100ft</t>
  </si>
  <si>
    <t>BHA Calculations</t>
  </si>
  <si>
    <t>ID</t>
  </si>
  <si>
    <t>OD</t>
  </si>
  <si>
    <t>Length</t>
  </si>
  <si>
    <t>Cap.</t>
  </si>
  <si>
    <t>Disp.</t>
  </si>
  <si>
    <t>Bit</t>
  </si>
  <si>
    <t>stage motor</t>
  </si>
  <si>
    <t>Pony NMDC</t>
  </si>
  <si>
    <t>Muleshoe sub</t>
  </si>
  <si>
    <t>Slick NMDC</t>
  </si>
  <si>
    <t>XO</t>
  </si>
  <si>
    <t>66xWT39 DP</t>
  </si>
  <si>
    <t>4 hevi</t>
  </si>
  <si>
    <t>Total Length</t>
  </si>
  <si>
    <t>BHA Capacity</t>
  </si>
  <si>
    <t>BHA Displacement</t>
  </si>
  <si>
    <t>Drill Pipe Calculations</t>
  </si>
  <si>
    <t>Drill Pipe OD</t>
  </si>
  <si>
    <t>Drill Pipe  ID</t>
  </si>
  <si>
    <t>Capacity/ft</t>
  </si>
  <si>
    <t>Disp./ft</t>
  </si>
  <si>
    <t>BBL/Stk</t>
  </si>
  <si>
    <t>Gal/stk</t>
  </si>
  <si>
    <t>Efficency</t>
  </si>
  <si>
    <t>Pump #1</t>
  </si>
  <si>
    <t>PW: 0YC</t>
  </si>
  <si>
    <t>Pump #2</t>
  </si>
  <si>
    <t>Pump #3</t>
  </si>
  <si>
    <t>Pump</t>
  </si>
  <si>
    <t>BBl/Stk</t>
  </si>
  <si>
    <t xml:space="preserve">PUMP OUTPUT (TPX)= </t>
  </si>
  <si>
    <t>LINER</t>
  </si>
  <si>
    <t>STROKE</t>
  </si>
  <si>
    <t>EFFICIENCY</t>
  </si>
  <si>
    <t xml:space="preserve"> =</t>
  </si>
  <si>
    <t xml:space="preserve">.000243 X (LINER DIA SQ X STROKE LENGTH X EFFICIENCY </t>
  </si>
  <si>
    <t>BBL/STK</t>
  </si>
  <si>
    <t>42 gal = 1 Bbl</t>
  </si>
  <si>
    <t>gal/stk</t>
  </si>
  <si>
    <t>Bbl/stk</t>
  </si>
  <si>
    <t>Bit size:</t>
  </si>
  <si>
    <t>Depth</t>
  </si>
  <si>
    <t>Drill pipe:</t>
  </si>
  <si>
    <t>Strokes (bottom up)</t>
  </si>
  <si>
    <t xml:space="preserve">Casing: </t>
  </si>
  <si>
    <t>#1 Bbls/stk</t>
  </si>
  <si>
    <t xml:space="preserve">Pumps: </t>
  </si>
  <si>
    <t>#2 Bbls/stk</t>
  </si>
  <si>
    <t>Hole size</t>
  </si>
  <si>
    <t>Pipe diameter</t>
  </si>
  <si>
    <t xml:space="preserve">Pump Cap.:  </t>
  </si>
  <si>
    <t xml:space="preserve">Pump stk/min: </t>
  </si>
  <si>
    <t>@95%</t>
  </si>
  <si>
    <t>Flow rate:</t>
  </si>
  <si>
    <t>gal/min</t>
  </si>
  <si>
    <t>Bottoms up:</t>
  </si>
  <si>
    <t>@</t>
  </si>
  <si>
    <t>stk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</si>
</sst>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00"/>
    <numFmt numFmtId="167" formatCode="0%"/>
    <numFmt numFmtId="168" formatCode="0"/>
    <numFmt numFmtId="169" formatCode="0.0000"/>
    <numFmt numFmtId="170" formatCode="M/D/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20"/>
      <color indexed="12"/>
      <name val="Arial"/>
      <family val="2"/>
    </font>
    <font>
      <sz val="10"/>
      <color indexed="50"/>
      <name val="Arial"/>
      <family val="2"/>
    </font>
    <font>
      <b/>
      <u val="single"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8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8" borderId="10" xfId="0" applyFont="1" applyFill="1" applyBorder="1" applyAlignment="1" applyProtection="1">
      <alignment/>
      <protection/>
    </xf>
    <xf numFmtId="165" fontId="2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/>
    </xf>
    <xf numFmtId="164" fontId="19" fillId="8" borderId="12" xfId="0" applyFont="1" applyFill="1" applyBorder="1" applyAlignment="1" applyProtection="1">
      <alignment/>
      <protection/>
    </xf>
    <xf numFmtId="164" fontId="19" fillId="8" borderId="13" xfId="0" applyFont="1" applyFill="1" applyBorder="1" applyAlignment="1" applyProtection="1">
      <alignment/>
      <protection/>
    </xf>
    <xf numFmtId="166" fontId="21" fillId="8" borderId="14" xfId="0" applyNumberFormat="1" applyFont="1" applyFill="1" applyBorder="1" applyAlignment="1" applyProtection="1">
      <alignment/>
      <protection/>
    </xf>
    <xf numFmtId="164" fontId="21" fillId="8" borderId="14" xfId="0" applyFont="1" applyFill="1" applyBorder="1" applyAlignment="1" applyProtection="1">
      <alignment/>
      <protection/>
    </xf>
    <xf numFmtId="165" fontId="21" fillId="8" borderId="15" xfId="0" applyNumberFormat="1" applyFont="1" applyFill="1" applyBorder="1" applyAlignment="1" applyProtection="1">
      <alignment/>
      <protection/>
    </xf>
    <xf numFmtId="167" fontId="20" fillId="0" borderId="11" xfId="0" applyNumberFormat="1" applyFont="1" applyBorder="1" applyAlignment="1" applyProtection="1">
      <alignment horizontal="center"/>
      <protection locked="0"/>
    </xf>
    <xf numFmtId="164" fontId="19" fillId="8" borderId="16" xfId="0" applyFont="1" applyFill="1" applyBorder="1" applyAlignment="1" applyProtection="1">
      <alignment horizontal="center"/>
      <protection/>
    </xf>
    <xf numFmtId="164" fontId="19" fillId="8" borderId="17" xfId="0" applyFont="1" applyFill="1" applyBorder="1" applyAlignment="1" applyProtection="1">
      <alignment horizontal="center"/>
      <protection/>
    </xf>
    <xf numFmtId="164" fontId="19" fillId="8" borderId="18" xfId="0" applyFont="1" applyFill="1" applyBorder="1" applyAlignment="1" applyProtection="1">
      <alignment horizontal="center"/>
      <protection/>
    </xf>
    <xf numFmtId="164" fontId="0" fillId="8" borderId="14" xfId="0" applyFill="1" applyBorder="1" applyAlignment="1" applyProtection="1">
      <alignment/>
      <protection/>
    </xf>
    <xf numFmtId="164" fontId="19" fillId="8" borderId="14" xfId="0" applyFont="1" applyFill="1" applyBorder="1" applyAlignment="1" applyProtection="1">
      <alignment/>
      <protection/>
    </xf>
    <xf numFmtId="164" fontId="20" fillId="0" borderId="14" xfId="0" applyFont="1" applyFill="1" applyBorder="1" applyAlignment="1" applyProtection="1">
      <alignment horizontal="center"/>
      <protection locked="0"/>
    </xf>
    <xf numFmtId="168" fontId="21" fillId="8" borderId="14" xfId="0" applyNumberFormat="1" applyFont="1" applyFill="1" applyBorder="1" applyAlignment="1" applyProtection="1">
      <alignment/>
      <protection/>
    </xf>
    <xf numFmtId="165" fontId="19" fillId="8" borderId="19" xfId="0" applyNumberFormat="1" applyFont="1" applyFill="1" applyBorder="1" applyAlignment="1" applyProtection="1">
      <alignment horizontal="center"/>
      <protection/>
    </xf>
    <xf numFmtId="164" fontId="21" fillId="8" borderId="14" xfId="0" applyFont="1" applyFill="1" applyBorder="1" applyAlignment="1" applyProtection="1">
      <alignment horizontal="center"/>
      <protection/>
    </xf>
    <xf numFmtId="165" fontId="21" fillId="8" borderId="19" xfId="0" applyNumberFormat="1" applyFont="1" applyFill="1" applyBorder="1" applyAlignment="1" applyProtection="1">
      <alignment horizontal="center"/>
      <protection/>
    </xf>
    <xf numFmtId="164" fontId="19" fillId="8" borderId="14" xfId="0" applyFont="1" applyFill="1" applyBorder="1" applyAlignment="1" applyProtection="1">
      <alignment horizontal="right"/>
      <protection/>
    </xf>
    <xf numFmtId="165" fontId="21" fillId="8" borderId="14" xfId="0" applyNumberFormat="1" applyFont="1" applyFill="1" applyBorder="1" applyAlignment="1" applyProtection="1">
      <alignment horizontal="center"/>
      <protection/>
    </xf>
    <xf numFmtId="164" fontId="21" fillId="8" borderId="18" xfId="0" applyFont="1" applyFill="1" applyBorder="1" applyAlignment="1" applyProtection="1">
      <alignment horizontal="left"/>
      <protection/>
    </xf>
    <xf numFmtId="164" fontId="19" fillId="8" borderId="20" xfId="0" applyFont="1" applyFill="1" applyBorder="1" applyAlignment="1" applyProtection="1">
      <alignment/>
      <protection/>
    </xf>
    <xf numFmtId="164" fontId="19" fillId="8" borderId="16" xfId="0" applyFont="1" applyFill="1" applyBorder="1" applyAlignment="1" applyProtection="1">
      <alignment horizontal="right"/>
      <protection/>
    </xf>
    <xf numFmtId="164" fontId="19" fillId="8" borderId="14" xfId="0" applyFont="1" applyFill="1" applyBorder="1" applyAlignment="1" applyProtection="1">
      <alignment horizontal="center"/>
      <protection/>
    </xf>
    <xf numFmtId="164" fontId="22" fillId="24" borderId="21" xfId="0" applyFont="1" applyFill="1" applyBorder="1" applyAlignment="1">
      <alignment/>
    </xf>
    <xf numFmtId="164" fontId="23" fillId="24" borderId="21" xfId="0" applyFont="1" applyFill="1" applyBorder="1" applyAlignment="1">
      <alignment/>
    </xf>
    <xf numFmtId="169" fontId="21" fillId="8" borderId="16" xfId="0" applyNumberFormat="1" applyFont="1" applyFill="1" applyBorder="1" applyAlignment="1" applyProtection="1">
      <alignment horizontal="center"/>
      <protection/>
    </xf>
    <xf numFmtId="164" fontId="24" fillId="25" borderId="21" xfId="0" applyFont="1" applyFill="1" applyBorder="1" applyAlignment="1">
      <alignment/>
    </xf>
    <xf numFmtId="164" fontId="0" fillId="25" borderId="0" xfId="0" applyFont="1" applyFill="1" applyAlignment="1">
      <alignment/>
    </xf>
    <xf numFmtId="164" fontId="22" fillId="26" borderId="0" xfId="0" applyFont="1" applyFill="1" applyAlignment="1">
      <alignment/>
    </xf>
    <xf numFmtId="164" fontId="25" fillId="0" borderId="0" xfId="0" applyFont="1" applyFill="1" applyAlignment="1" applyProtection="1">
      <alignment/>
      <protection/>
    </xf>
    <xf numFmtId="164" fontId="25" fillId="0" borderId="0" xfId="0" applyFont="1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6" fillId="8" borderId="0" xfId="0" applyFont="1" applyFill="1" applyBorder="1" applyAlignment="1">
      <alignment horizontal="center"/>
    </xf>
    <xf numFmtId="164" fontId="25" fillId="8" borderId="0" xfId="0" applyFont="1" applyFill="1" applyAlignment="1">
      <alignment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>
      <alignment/>
    </xf>
    <xf numFmtId="169" fontId="25" fillId="8" borderId="0" xfId="0" applyNumberFormat="1" applyFont="1" applyFill="1" applyAlignment="1">
      <alignment/>
    </xf>
    <xf numFmtId="164" fontId="26" fillId="2" borderId="0" xfId="0" applyFont="1" applyFill="1" applyBorder="1" applyAlignment="1">
      <alignment horizontal="center"/>
    </xf>
    <xf numFmtId="164" fontId="25" fillId="2" borderId="0" xfId="0" applyFont="1" applyFill="1" applyAlignment="1">
      <alignment/>
    </xf>
    <xf numFmtId="164" fontId="0" fillId="0" borderId="0" xfId="0" applyAlignment="1" applyProtection="1">
      <alignment/>
      <protection locked="0"/>
    </xf>
    <xf numFmtId="164" fontId="25" fillId="27" borderId="0" xfId="0" applyFont="1" applyFill="1" applyAlignment="1">
      <alignment/>
    </xf>
    <xf numFmtId="164" fontId="25" fillId="2" borderId="0" xfId="0" applyFont="1" applyFill="1" applyAlignment="1" applyProtection="1">
      <alignment/>
      <protection locked="0"/>
    </xf>
    <xf numFmtId="169" fontId="25" fillId="2" borderId="0" xfId="0" applyNumberFormat="1" applyFont="1" applyFill="1" applyAlignment="1">
      <alignment/>
    </xf>
    <xf numFmtId="164" fontId="26" fillId="2" borderId="14" xfId="0" applyFont="1" applyFill="1" applyBorder="1" applyAlignment="1">
      <alignment horizontal="center"/>
    </xf>
    <xf numFmtId="164" fontId="25" fillId="2" borderId="14" xfId="0" applyFont="1" applyFill="1" applyBorder="1" applyAlignment="1">
      <alignment/>
    </xf>
    <xf numFmtId="164" fontId="25" fillId="2" borderId="14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5" fillId="2" borderId="14" xfId="0" applyFont="1" applyFill="1" applyBorder="1" applyAlignment="1" applyProtection="1">
      <alignment horizontal="center"/>
      <protection locked="0"/>
    </xf>
    <xf numFmtId="165" fontId="0" fillId="0" borderId="14" xfId="0" applyNumberFormat="1" applyFont="1" applyFill="1" applyBorder="1" applyAlignment="1" applyProtection="1">
      <alignment horizontal="center"/>
      <protection locked="0"/>
    </xf>
    <xf numFmtId="165" fontId="25" fillId="0" borderId="14" xfId="0" applyNumberFormat="1" applyFont="1" applyFill="1" applyBorder="1" applyAlignment="1" applyProtection="1">
      <alignment horizontal="center"/>
      <protection locked="0"/>
    </xf>
    <xf numFmtId="169" fontId="25" fillId="2" borderId="14" xfId="0" applyNumberFormat="1" applyFont="1" applyFill="1" applyBorder="1" applyAlignment="1">
      <alignment horizontal="center"/>
    </xf>
    <xf numFmtId="164" fontId="25" fillId="0" borderId="14" xfId="0" applyFont="1" applyFill="1" applyBorder="1" applyAlignment="1" applyProtection="1">
      <alignment horizontal="center"/>
      <protection locked="0"/>
    </xf>
    <xf numFmtId="164" fontId="25" fillId="2" borderId="14" xfId="0" applyFont="1" applyFill="1" applyBorder="1" applyAlignment="1">
      <alignment horizontal="right"/>
    </xf>
    <xf numFmtId="164" fontId="27" fillId="2" borderId="14" xfId="0" applyFont="1" applyFill="1" applyBorder="1" applyAlignment="1" applyProtection="1">
      <alignment horizontal="center"/>
      <protection hidden="1"/>
    </xf>
    <xf numFmtId="164" fontId="25" fillId="0" borderId="0" xfId="0" applyFont="1" applyFill="1" applyAlignment="1">
      <alignment/>
    </xf>
    <xf numFmtId="164" fontId="26" fillId="3" borderId="0" xfId="0" applyFont="1" applyFill="1" applyBorder="1" applyAlignment="1">
      <alignment horizontal="center"/>
    </xf>
    <xf numFmtId="164" fontId="25" fillId="9" borderId="0" xfId="0" applyFont="1" applyFill="1" applyAlignment="1">
      <alignment/>
    </xf>
    <xf numFmtId="165" fontId="21" fillId="8" borderId="15" xfId="0" applyNumberFormat="1" applyFont="1" applyFill="1" applyBorder="1" applyAlignment="1">
      <alignment/>
    </xf>
    <xf numFmtId="169" fontId="21" fillId="8" borderId="15" xfId="0" applyNumberFormat="1" applyFont="1" applyFill="1" applyBorder="1" applyAlignment="1">
      <alignment/>
    </xf>
    <xf numFmtId="164" fontId="28" fillId="8" borderId="0" xfId="0" applyFont="1" applyFill="1" applyAlignment="1">
      <alignment horizontal="center"/>
    </xf>
    <xf numFmtId="164" fontId="28" fillId="8" borderId="0" xfId="0" applyFont="1" applyFill="1" applyAlignment="1">
      <alignment/>
    </xf>
    <xf numFmtId="166" fontId="0" fillId="0" borderId="0" xfId="0" applyNumberFormat="1" applyAlignment="1">
      <alignment/>
    </xf>
    <xf numFmtId="164" fontId="29" fillId="8" borderId="22" xfId="0" applyFont="1" applyFill="1" applyBorder="1" applyAlignment="1">
      <alignment/>
    </xf>
    <xf numFmtId="164" fontId="30" fillId="8" borderId="22" xfId="0" applyFont="1" applyFill="1" applyBorder="1" applyAlignment="1">
      <alignment/>
    </xf>
    <xf numFmtId="164" fontId="30" fillId="8" borderId="22" xfId="0" applyFont="1" applyFill="1" applyBorder="1" applyAlignment="1">
      <alignment horizontal="center"/>
    </xf>
    <xf numFmtId="164" fontId="30" fillId="10" borderId="23" xfId="0" applyFont="1" applyFill="1" applyBorder="1" applyAlignment="1">
      <alignment horizontal="center"/>
    </xf>
    <xf numFmtId="164" fontId="30" fillId="8" borderId="24" xfId="0" applyFont="1" applyFill="1" applyBorder="1" applyAlignment="1">
      <alignment/>
    </xf>
    <xf numFmtId="164" fontId="29" fillId="8" borderId="25" xfId="0" applyFont="1" applyFill="1" applyBorder="1" applyAlignment="1">
      <alignment/>
    </xf>
    <xf numFmtId="164" fontId="30" fillId="8" borderId="25" xfId="0" applyFont="1" applyFill="1" applyBorder="1" applyAlignment="1">
      <alignment/>
    </xf>
    <xf numFmtId="164" fontId="30" fillId="8" borderId="25" xfId="0" applyFont="1" applyFill="1" applyBorder="1" applyAlignment="1">
      <alignment horizontal="center"/>
    </xf>
    <xf numFmtId="164" fontId="30" fillId="20" borderId="26" xfId="0" applyFont="1" applyFill="1" applyBorder="1" applyAlignment="1" applyProtection="1">
      <alignment horizontal="center"/>
      <protection locked="0"/>
    </xf>
    <xf numFmtId="166" fontId="31" fillId="11" borderId="26" xfId="0" applyNumberFormat="1" applyFont="1" applyFill="1" applyBorder="1" applyAlignment="1">
      <alignment horizontal="center"/>
    </xf>
    <xf numFmtId="164" fontId="30" fillId="8" borderId="27" xfId="0" applyFont="1" applyFill="1" applyBorder="1" applyAlignment="1">
      <alignment/>
    </xf>
    <xf numFmtId="164" fontId="30" fillId="0" borderId="22" xfId="0" applyFont="1" applyFill="1" applyBorder="1" applyAlignment="1">
      <alignment horizontal="center"/>
    </xf>
    <xf numFmtId="164" fontId="30" fillId="0" borderId="22" xfId="0" applyFont="1" applyFill="1" applyBorder="1" applyAlignment="1">
      <alignment/>
    </xf>
    <xf numFmtId="164" fontId="28" fillId="0" borderId="0" xfId="0" applyFont="1" applyAlignment="1">
      <alignment/>
    </xf>
    <xf numFmtId="164" fontId="28" fillId="0" borderId="0" xfId="0" applyFont="1" applyAlignment="1">
      <alignment horizontal="left"/>
    </xf>
    <xf numFmtId="164" fontId="28" fillId="0" borderId="0" xfId="0" applyFont="1" applyAlignment="1">
      <alignment horizontal="center"/>
    </xf>
    <xf numFmtId="164" fontId="0" fillId="24" borderId="0" xfId="0" applyFill="1" applyAlignment="1">
      <alignment/>
    </xf>
    <xf numFmtId="164" fontId="0" fillId="28" borderId="0" xfId="0" applyFill="1" applyAlignment="1">
      <alignment/>
    </xf>
    <xf numFmtId="164" fontId="16" fillId="0" borderId="0" xfId="0" applyFont="1" applyAlignment="1">
      <alignment horizontal="left"/>
    </xf>
    <xf numFmtId="164" fontId="16" fillId="0" borderId="0" xfId="0" applyFont="1" applyAlignment="1">
      <alignment horizontal="center"/>
    </xf>
    <xf numFmtId="170" fontId="16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170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color rgb="FFFFFFFF"/>
      </font>
      <fill>
        <patternFill patternType="solid">
          <fgColor rgb="FF808080"/>
          <bgColor rgb="FF7F7F7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2" zoomScaleNormal="112" workbookViewId="0" topLeftCell="A1">
      <selection activeCell="B18" sqref="B18"/>
    </sheetView>
  </sheetViews>
  <sheetFormatPr defaultColWidth="9.140625" defaultRowHeight="12.75"/>
  <cols>
    <col min="1" max="1" width="25.8515625" style="0" customWidth="1"/>
    <col min="2" max="2" width="13.7109375" style="0" customWidth="1"/>
    <col min="4" max="4" width="20.140625" style="0" customWidth="1"/>
    <col min="5" max="5" width="12.28125" style="0" customWidth="1"/>
    <col min="6" max="6" width="16.421875" style="0" customWidth="1"/>
    <col min="9" max="9" width="27.00390625" style="0" customWidth="1"/>
    <col min="10" max="10" width="15.140625" style="0" customWidth="1"/>
  </cols>
  <sheetData>
    <row r="1" spans="2:8" ht="19.5">
      <c r="B1" s="1" t="s">
        <v>0</v>
      </c>
      <c r="C1" s="1"/>
      <c r="D1" s="1"/>
      <c r="E1" s="1"/>
      <c r="F1" s="1"/>
      <c r="G1" s="1"/>
      <c r="H1" s="1"/>
    </row>
    <row r="2" spans="1:10" ht="17.25">
      <c r="A2" s="2" t="s">
        <v>1</v>
      </c>
      <c r="B2" s="3">
        <v>7.875</v>
      </c>
      <c r="C2" s="4"/>
      <c r="D2" s="5" t="s">
        <v>2</v>
      </c>
      <c r="E2" s="6"/>
      <c r="F2" s="7">
        <f>J3-J4-J6</f>
        <v>688.0652777564599</v>
      </c>
      <c r="G2" s="8" t="s">
        <v>3</v>
      </c>
      <c r="I2" s="2" t="s">
        <v>4</v>
      </c>
      <c r="J2" s="9">
        <f>BHA!C4</f>
        <v>7.875</v>
      </c>
    </row>
    <row r="3" spans="1:10" ht="17.25">
      <c r="A3" s="2" t="s">
        <v>5</v>
      </c>
      <c r="B3" s="10">
        <v>0.1</v>
      </c>
      <c r="C3" s="4"/>
      <c r="D3" s="5" t="s">
        <v>6</v>
      </c>
      <c r="E3" s="6"/>
      <c r="F3" s="7">
        <f>J5+J7</f>
        <v>154.1369872090538</v>
      </c>
      <c r="G3" s="8" t="s">
        <v>3</v>
      </c>
      <c r="I3" s="2" t="s">
        <v>7</v>
      </c>
      <c r="J3" s="9">
        <f>Casing!B6+Liner!B7+((('Open Hole'!B7*B10)*((100+B3)/100)))</f>
        <v>988.1427022573828</v>
      </c>
    </row>
    <row r="4" spans="1:10" ht="17.25">
      <c r="A4" s="2" t="s">
        <v>8</v>
      </c>
      <c r="B4" s="3">
        <v>16321</v>
      </c>
      <c r="C4" s="4"/>
      <c r="D4" s="5" t="s">
        <v>9</v>
      </c>
      <c r="E4" s="6"/>
      <c r="F4" s="7">
        <f>SUM(F2:F3)</f>
        <v>842.2022649655137</v>
      </c>
      <c r="G4" s="8" t="s">
        <v>3</v>
      </c>
      <c r="I4" s="2" t="s">
        <v>10</v>
      </c>
      <c r="J4" s="9">
        <f>BHA!E18</f>
        <v>4.123694172576258</v>
      </c>
    </row>
    <row r="5" spans="1:10" ht="17.25">
      <c r="A5" s="2" t="s">
        <v>11</v>
      </c>
      <c r="B5" s="3">
        <v>13870</v>
      </c>
      <c r="C5" s="4"/>
      <c r="D5" s="11" t="s">
        <v>12</v>
      </c>
      <c r="E5" s="12"/>
      <c r="F5" s="13"/>
      <c r="G5" s="14"/>
      <c r="I5" s="2" t="s">
        <v>13</v>
      </c>
      <c r="J5" s="9">
        <f>BHA!E17</f>
        <v>0.7010069875655721</v>
      </c>
    </row>
    <row r="6" spans="1:10" ht="17.25">
      <c r="A6" s="2" t="s">
        <v>14</v>
      </c>
      <c r="B6" s="3">
        <v>15150</v>
      </c>
      <c r="C6" s="4"/>
      <c r="D6" s="15" t="s">
        <v>15</v>
      </c>
      <c r="E6" s="16">
        <v>93</v>
      </c>
      <c r="F6" s="15" t="s">
        <v>16</v>
      </c>
      <c r="G6" s="17">
        <f>F2/Pumps!B2</f>
        <v>7526.69950267741</v>
      </c>
      <c r="H6" t="s">
        <v>12</v>
      </c>
      <c r="I6" s="2" t="s">
        <v>17</v>
      </c>
      <c r="J6" s="9">
        <f>(B6-BHA!D16)*'Drill Pipe'!B11</f>
        <v>295.9537303283466</v>
      </c>
    </row>
    <row r="7" spans="1:10" ht="17.25">
      <c r="A7" s="2" t="s">
        <v>18</v>
      </c>
      <c r="B7" s="3">
        <v>1</v>
      </c>
      <c r="C7" s="4"/>
      <c r="D7" s="15" t="s">
        <v>19</v>
      </c>
      <c r="E7" s="16">
        <v>0</v>
      </c>
      <c r="F7" s="15" t="s">
        <v>20</v>
      </c>
      <c r="G7" s="17">
        <f>F3/Pumps!B2</f>
        <v>1686.0940705413873</v>
      </c>
      <c r="H7" t="s">
        <v>12</v>
      </c>
      <c r="I7" s="2" t="s">
        <v>21</v>
      </c>
      <c r="J7" s="9">
        <f>(B10-BHA!D17)*'Drill Pipe'!B10</f>
        <v>153.43598022148825</v>
      </c>
    </row>
    <row r="8" spans="1:8" ht="17.25">
      <c r="A8" s="2" t="s">
        <v>22</v>
      </c>
      <c r="B8" s="18">
        <f>B6-B5</f>
        <v>1280</v>
      </c>
      <c r="C8" s="4"/>
      <c r="D8" s="15" t="s">
        <v>23</v>
      </c>
      <c r="E8" s="16">
        <v>0</v>
      </c>
      <c r="F8" s="15" t="s">
        <v>24</v>
      </c>
      <c r="G8" s="17">
        <f>F4/Pumps!B2</f>
        <v>9212.793573218798</v>
      </c>
      <c r="H8" t="s">
        <v>12</v>
      </c>
    </row>
    <row r="9" spans="1:7" ht="17.25">
      <c r="A9" s="2" t="s">
        <v>25</v>
      </c>
      <c r="B9" s="18">
        <f>(B8/(24-B7))+0.0001</f>
        <v>55.65227391304348</v>
      </c>
      <c r="C9" s="4"/>
      <c r="D9" s="15" t="s">
        <v>26</v>
      </c>
      <c r="E9" s="19">
        <f>SUM(E6:E8)</f>
        <v>93</v>
      </c>
      <c r="F9" s="14"/>
      <c r="G9" s="14"/>
    </row>
    <row r="10" spans="1:7" ht="17.25">
      <c r="A10" s="2" t="s">
        <v>27</v>
      </c>
      <c r="B10" s="20">
        <f>B6-Casing!B5</f>
        <v>10790</v>
      </c>
      <c r="C10" s="4"/>
      <c r="D10" s="21" t="s">
        <v>28</v>
      </c>
      <c r="E10" s="21"/>
      <c r="F10" s="22">
        <f>G6/E9</f>
        <v>80.9322527169614</v>
      </c>
      <c r="G10" s="23" t="s">
        <v>29</v>
      </c>
    </row>
    <row r="11" spans="1:7" ht="17.25">
      <c r="A11" s="24" t="s">
        <v>30</v>
      </c>
      <c r="B11" s="20">
        <f>B4-B6</f>
        <v>1171</v>
      </c>
      <c r="C11" s="4"/>
      <c r="D11" s="21" t="s">
        <v>20</v>
      </c>
      <c r="E11" s="21"/>
      <c r="F11" s="22">
        <f>G7/E9</f>
        <v>18.13004376926223</v>
      </c>
      <c r="G11" s="23" t="s">
        <v>29</v>
      </c>
    </row>
    <row r="12" spans="1:7" ht="17.25">
      <c r="A12" s="2" t="s">
        <v>31</v>
      </c>
      <c r="B12" s="20">
        <f>(B11/B9)/24</f>
        <v>0.876723685053795</v>
      </c>
      <c r="C12" s="4"/>
      <c r="D12" s="25" t="s">
        <v>24</v>
      </c>
      <c r="E12" s="25"/>
      <c r="F12" s="22">
        <f>G8/E9</f>
        <v>99.06229648622363</v>
      </c>
      <c r="G12" s="23" t="s">
        <v>29</v>
      </c>
    </row>
    <row r="13" spans="3:10" ht="17.25">
      <c r="C13" s="4"/>
      <c r="D13" s="26" t="s">
        <v>32</v>
      </c>
      <c r="E13" s="26"/>
      <c r="F13" s="26"/>
      <c r="G13" s="26"/>
      <c r="I13" s="27">
        <f>(G6/B6)*1000</f>
        <v>496.81184836154523</v>
      </c>
      <c r="J13" s="28" t="s">
        <v>33</v>
      </c>
    </row>
    <row r="14" spans="3:11" ht="17.25">
      <c r="C14" s="4"/>
      <c r="D14" s="21" t="s">
        <v>34</v>
      </c>
      <c r="E14" s="21"/>
      <c r="F14" s="29">
        <f>24.5*E9*Pumps!C2/((B2^2)-(BHA!C6^2))</f>
        <v>465.89626768695666</v>
      </c>
      <c r="G14" s="19" t="s">
        <v>35</v>
      </c>
      <c r="I14" s="30">
        <f>(G6/B6)*100</f>
        <v>49.68118483615452</v>
      </c>
      <c r="J14" s="31" t="s">
        <v>36</v>
      </c>
      <c r="K14" s="32" t="s">
        <v>37</v>
      </c>
    </row>
    <row r="15" spans="3:7" ht="17.25">
      <c r="C15" s="4"/>
      <c r="D15" s="21" t="s">
        <v>38</v>
      </c>
      <c r="E15" s="21"/>
      <c r="F15" s="29">
        <f>24.5*E9*Pumps!C2/((B2^2)-('Drill Pipe'!B6^2))</f>
        <v>220.48588800000005</v>
      </c>
      <c r="G15" s="19" t="s">
        <v>35</v>
      </c>
    </row>
    <row r="16" spans="3:7" ht="17.25">
      <c r="C16" s="4"/>
      <c r="D16" s="21" t="s">
        <v>39</v>
      </c>
      <c r="E16" s="21"/>
      <c r="F16" s="29">
        <f>24.5*E9*(Pumps!C2*Pumps!D2)/((Casing!B4^2)-('Drill Pipe'!B6^2))</f>
        <v>147.21949907810847</v>
      </c>
      <c r="G16" s="19" t="s">
        <v>35</v>
      </c>
    </row>
    <row r="17" ht="12.75">
      <c r="C17" s="4"/>
    </row>
    <row r="18" ht="12.75">
      <c r="C18" s="4"/>
    </row>
    <row r="19" spans="1:3" ht="12.75">
      <c r="A19" s="4"/>
      <c r="B19" s="4"/>
      <c r="C19" s="4"/>
    </row>
    <row r="20" spans="1:3" ht="12.75">
      <c r="A20" s="4"/>
      <c r="B20" s="4"/>
      <c r="C20" s="4"/>
    </row>
    <row r="21" spans="1:7" ht="12.75">
      <c r="A21" s="4"/>
      <c r="B21" s="4"/>
      <c r="C21" s="4"/>
      <c r="D21" s="33"/>
      <c r="E21" s="33"/>
      <c r="F21" s="33"/>
      <c r="G21" s="33"/>
    </row>
    <row r="22" spans="1:7" ht="12.75">
      <c r="A22" s="4"/>
      <c r="B22" s="4"/>
      <c r="C22" s="4"/>
      <c r="D22" s="33"/>
      <c r="E22" s="33"/>
      <c r="F22" s="33"/>
      <c r="G22" s="33"/>
    </row>
    <row r="23" spans="1:7" ht="12.75">
      <c r="A23" s="4"/>
      <c r="B23" s="4"/>
      <c r="C23" s="4"/>
      <c r="D23" s="33"/>
      <c r="E23" s="33"/>
      <c r="F23" s="33"/>
      <c r="G23" s="33"/>
    </row>
    <row r="24" spans="1:7" ht="12.75">
      <c r="A24" s="4"/>
      <c r="B24" s="4"/>
      <c r="C24" s="4"/>
      <c r="D24" s="33"/>
      <c r="E24" s="33"/>
      <c r="F24" s="34"/>
      <c r="G24" s="33"/>
    </row>
    <row r="25" spans="1:7" ht="12.75">
      <c r="A25" s="4"/>
      <c r="B25" s="4"/>
      <c r="C25" s="4"/>
      <c r="D25" s="33"/>
      <c r="E25" s="33"/>
      <c r="F25" s="33"/>
      <c r="G25" s="33"/>
    </row>
    <row r="26" spans="1:7" ht="12.75">
      <c r="A26" s="4"/>
      <c r="B26" s="4"/>
      <c r="C26" s="4"/>
      <c r="D26" s="33"/>
      <c r="E26" s="33"/>
      <c r="F26" s="33"/>
      <c r="G26" s="33"/>
    </row>
    <row r="27" spans="1:7" ht="12.75">
      <c r="A27" s="4"/>
      <c r="B27" s="4"/>
      <c r="C27" s="4"/>
      <c r="D27" s="33"/>
      <c r="E27" s="33"/>
      <c r="F27" s="33"/>
      <c r="G27" s="33"/>
    </row>
    <row r="28" spans="1:7" ht="12.75">
      <c r="A28" s="4"/>
      <c r="B28" s="4"/>
      <c r="C28" s="4"/>
      <c r="D28" s="33"/>
      <c r="E28" s="33"/>
      <c r="F28" s="33"/>
      <c r="G28" s="33"/>
    </row>
    <row r="29" spans="1:7" ht="12.75">
      <c r="A29" s="4"/>
      <c r="B29" s="4"/>
      <c r="C29" s="4"/>
      <c r="D29" s="33"/>
      <c r="E29" s="33"/>
      <c r="F29" s="33"/>
      <c r="G29" s="33"/>
    </row>
    <row r="30" spans="1:7" ht="12.75">
      <c r="A30" s="4"/>
      <c r="B30" s="4"/>
      <c r="C30" s="4"/>
      <c r="D30" s="35"/>
      <c r="E30" s="35"/>
      <c r="F30" s="35"/>
      <c r="G30" s="35"/>
    </row>
    <row r="31" ht="12.75">
      <c r="C31" s="4"/>
    </row>
  </sheetData>
  <mergeCells count="8">
    <mergeCell ref="B1:H1"/>
    <mergeCell ref="D10:E10"/>
    <mergeCell ref="D11:E11"/>
    <mergeCell ref="D12:E12"/>
    <mergeCell ref="D13:G13"/>
    <mergeCell ref="D14:E14"/>
    <mergeCell ref="D15:E15"/>
    <mergeCell ref="D16:E16"/>
  </mergeCells>
  <conditionalFormatting sqref="B12">
    <cfRule type="cellIs" priority="1" dxfId="0" operator="greaterThan" stopIfTrue="1">
      <formula>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5" sqref="B5"/>
    </sheetView>
  </sheetViews>
  <sheetFormatPr defaultColWidth="9.140625" defaultRowHeight="12.75"/>
  <cols>
    <col min="1" max="1" width="11.140625" style="0" customWidth="1"/>
    <col min="2" max="2" width="11.8515625" style="0" customWidth="1"/>
  </cols>
  <sheetData>
    <row r="1" spans="3:7" ht="24.75">
      <c r="C1" s="36" t="s">
        <v>40</v>
      </c>
      <c r="D1" s="36"/>
      <c r="E1" s="36"/>
      <c r="F1" s="36"/>
      <c r="G1" s="36"/>
    </row>
    <row r="4" spans="1:6" ht="12.75">
      <c r="A4" s="37" t="s">
        <v>41</v>
      </c>
      <c r="B4" s="38">
        <v>8.926</v>
      </c>
      <c r="C4" s="39"/>
      <c r="D4" s="38"/>
      <c r="E4" s="38"/>
      <c r="F4" s="38"/>
    </row>
    <row r="5" spans="1:6" ht="12.75">
      <c r="A5" s="37" t="s">
        <v>42</v>
      </c>
      <c r="B5" s="38">
        <v>4360</v>
      </c>
      <c r="C5" s="39"/>
      <c r="D5" s="38"/>
      <c r="E5" s="38"/>
      <c r="F5" s="38"/>
    </row>
    <row r="6" spans="1:6" ht="12.75">
      <c r="A6" s="37" t="s">
        <v>43</v>
      </c>
      <c r="B6" s="40">
        <f>(B4*B4/1029.4)*B5</f>
        <v>337.4551732659802</v>
      </c>
      <c r="C6" s="37" t="s">
        <v>44</v>
      </c>
      <c r="D6" s="40"/>
      <c r="E6" s="40"/>
      <c r="F6" s="40"/>
    </row>
  </sheetData>
  <mergeCells count="1">
    <mergeCell ref="C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6" sqref="B6"/>
    </sheetView>
  </sheetViews>
  <sheetFormatPr defaultColWidth="9.140625" defaultRowHeight="12.75"/>
  <cols>
    <col min="1" max="1" width="16.421875" style="0" customWidth="1"/>
  </cols>
  <sheetData>
    <row r="1" spans="3:7" ht="24.75">
      <c r="C1" s="41" t="s">
        <v>45</v>
      </c>
      <c r="D1" s="41"/>
      <c r="E1" s="41"/>
      <c r="F1" s="41"/>
      <c r="G1" s="41"/>
    </row>
    <row r="4" spans="1:2" ht="12.75">
      <c r="A4" s="42" t="s">
        <v>46</v>
      </c>
      <c r="B4" s="43"/>
    </row>
    <row r="5" spans="1:2" ht="12.75">
      <c r="A5" s="42" t="s">
        <v>47</v>
      </c>
      <c r="B5" s="43"/>
    </row>
    <row r="6" spans="1:2" ht="12.75">
      <c r="A6" s="42" t="s">
        <v>48</v>
      </c>
      <c r="B6" s="43"/>
    </row>
    <row r="7" spans="1:2" ht="12.75">
      <c r="A7" s="42" t="s">
        <v>49</v>
      </c>
      <c r="B7" s="42">
        <f>(B5-B4)*(B6*B6/1029.4)</f>
        <v>0</v>
      </c>
    </row>
  </sheetData>
  <mergeCells count="1">
    <mergeCell ref="C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25" sqref="F25"/>
    </sheetView>
  </sheetViews>
  <sheetFormatPr defaultColWidth="9.140625" defaultRowHeight="12.75"/>
  <cols>
    <col min="1" max="1" width="19.28125" style="0" customWidth="1"/>
  </cols>
  <sheetData>
    <row r="1" spans="3:7" ht="24.75">
      <c r="C1" s="41" t="s">
        <v>50</v>
      </c>
      <c r="D1" s="41"/>
      <c r="E1" s="41"/>
      <c r="F1" s="41"/>
      <c r="G1" s="41"/>
    </row>
    <row r="3" spans="1:2" ht="12.75">
      <c r="A3" s="42" t="s">
        <v>51</v>
      </c>
      <c r="B3" s="44">
        <v>4370</v>
      </c>
    </row>
    <row r="4" spans="1:2" ht="12.75">
      <c r="A4" s="42" t="s">
        <v>1</v>
      </c>
      <c r="B4" s="42">
        <f>Calculations!B2</f>
        <v>7.875</v>
      </c>
    </row>
    <row r="5" spans="1:2" ht="12.75">
      <c r="A5" s="42" t="s">
        <v>52</v>
      </c>
      <c r="B5" s="45">
        <f>Calculations!B6</f>
        <v>15150</v>
      </c>
    </row>
    <row r="6" spans="1:2" ht="12.75">
      <c r="A6" s="42" t="s">
        <v>53</v>
      </c>
      <c r="B6" s="46">
        <f>(B5-B3)*((B4*B4)/1029.4)</f>
        <v>649.4350471148241</v>
      </c>
    </row>
    <row r="7" spans="1:2" ht="12.75">
      <c r="A7" s="42" t="s">
        <v>54</v>
      </c>
      <c r="B7" s="42">
        <f>(B4*B4)/1029.4</f>
        <v>0.060244438507868654</v>
      </c>
    </row>
    <row r="8" spans="1:2" ht="12.75">
      <c r="A8" s="42" t="s">
        <v>55</v>
      </c>
      <c r="B8" s="42">
        <f>B7*100</f>
        <v>6.024443850786866</v>
      </c>
    </row>
  </sheetData>
  <mergeCells count="1">
    <mergeCell ref="C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10" sqref="B10"/>
    </sheetView>
  </sheetViews>
  <sheetFormatPr defaultColWidth="9.140625" defaultRowHeight="12.75"/>
  <cols>
    <col min="1" max="1" width="16.28125" style="0" customWidth="1"/>
    <col min="2" max="2" width="11.140625" style="0" customWidth="1"/>
    <col min="3" max="3" width="11.28125" style="0" customWidth="1"/>
  </cols>
  <sheetData>
    <row r="1" spans="1:7" ht="24.75">
      <c r="A1" s="47" t="s">
        <v>56</v>
      </c>
      <c r="B1" s="47"/>
      <c r="C1" s="47"/>
      <c r="D1" s="47"/>
      <c r="E1" s="47"/>
      <c r="F1" s="47"/>
      <c r="G1" s="47"/>
    </row>
    <row r="2" spans="1:7" ht="12.75">
      <c r="A2" s="48"/>
      <c r="B2" s="48"/>
      <c r="C2" s="48"/>
      <c r="D2" s="48"/>
      <c r="E2" s="48"/>
      <c r="F2" s="48"/>
      <c r="G2" s="48"/>
    </row>
    <row r="3" spans="1:8" ht="12.75">
      <c r="A3" s="49"/>
      <c r="B3" s="49" t="s">
        <v>57</v>
      </c>
      <c r="C3" s="49" t="s">
        <v>58</v>
      </c>
      <c r="D3" s="49" t="s">
        <v>59</v>
      </c>
      <c r="E3" s="49" t="s">
        <v>60</v>
      </c>
      <c r="F3" s="49" t="s">
        <v>61</v>
      </c>
      <c r="G3" s="49"/>
      <c r="H3" s="50"/>
    </row>
    <row r="4" spans="1:8" ht="12.75">
      <c r="A4" s="51" t="s">
        <v>62</v>
      </c>
      <c r="B4" s="52">
        <v>1.75</v>
      </c>
      <c r="C4" s="53">
        <v>7.875</v>
      </c>
      <c r="D4" s="52">
        <v>1</v>
      </c>
      <c r="E4" s="54">
        <f>(B4*B4/1029.4)*D4</f>
        <v>0.0029750340003885756</v>
      </c>
      <c r="F4" s="54">
        <f>(C4*C4/1029.4)*D4</f>
        <v>0.060244438507868654</v>
      </c>
      <c r="G4" s="49"/>
      <c r="H4" s="50"/>
    </row>
    <row r="5" spans="1:8" ht="12.75">
      <c r="A5" s="55" t="s">
        <v>63</v>
      </c>
      <c r="B5" s="52">
        <v>1.75</v>
      </c>
      <c r="C5" s="52">
        <v>6.25</v>
      </c>
      <c r="D5" s="52">
        <v>24.95</v>
      </c>
      <c r="E5" s="54">
        <f aca="true" t="shared" si="0" ref="E5:E15">(B5*B5/1029.4)*D5</f>
        <v>0.07422709830969496</v>
      </c>
      <c r="F5" s="54">
        <f aca="true" t="shared" si="1" ref="F5:F15">(C5*C5/1029.4)*D5</f>
        <v>0.9467742131338642</v>
      </c>
      <c r="G5" s="49"/>
      <c r="H5" s="50"/>
    </row>
    <row r="6" spans="1:8" ht="12.75">
      <c r="A6" s="55" t="s">
        <v>64</v>
      </c>
      <c r="B6" s="52">
        <v>2.8125</v>
      </c>
      <c r="C6" s="52">
        <v>6.5</v>
      </c>
      <c r="D6" s="52">
        <v>15.12</v>
      </c>
      <c r="E6" s="54">
        <f t="shared" si="0"/>
        <v>0.11618570283660383</v>
      </c>
      <c r="F6" s="54">
        <f t="shared" si="1"/>
        <v>0.6205750922867689</v>
      </c>
      <c r="G6" s="49"/>
      <c r="H6" s="50"/>
    </row>
    <row r="7" spans="1:8" ht="12.75">
      <c r="A7" s="55" t="s">
        <v>65</v>
      </c>
      <c r="B7" s="52">
        <v>2.875</v>
      </c>
      <c r="C7" s="52">
        <v>6.25</v>
      </c>
      <c r="D7" s="52">
        <v>2.2800000000000002</v>
      </c>
      <c r="E7" s="54">
        <f t="shared" si="0"/>
        <v>0.018307387798717698</v>
      </c>
      <c r="F7" s="54">
        <f t="shared" si="1"/>
        <v>0.08651884592966777</v>
      </c>
      <c r="G7" s="49"/>
      <c r="H7" s="50"/>
    </row>
    <row r="8" spans="1:8" ht="12.75">
      <c r="A8" s="55" t="s">
        <v>66</v>
      </c>
      <c r="B8" s="52">
        <v>3</v>
      </c>
      <c r="C8" s="52">
        <v>6.4375</v>
      </c>
      <c r="D8" s="52">
        <v>2.8</v>
      </c>
      <c r="E8" s="54">
        <f t="shared" si="0"/>
        <v>0.024480279774625996</v>
      </c>
      <c r="F8" s="54">
        <f t="shared" si="1"/>
        <v>0.11272191325043712</v>
      </c>
      <c r="G8" s="49"/>
      <c r="H8" s="50"/>
    </row>
    <row r="9" spans="1:8" ht="12.75">
      <c r="A9" s="55" t="s">
        <v>66</v>
      </c>
      <c r="B9" s="52">
        <v>2.875</v>
      </c>
      <c r="C9" s="52">
        <v>6.5</v>
      </c>
      <c r="D9" s="52">
        <v>30.54</v>
      </c>
      <c r="E9" s="54">
        <f t="shared" si="0"/>
        <v>0.2452226418301923</v>
      </c>
      <c r="F9" s="54">
        <f t="shared" si="1"/>
        <v>1.2534631824363707</v>
      </c>
      <c r="G9" s="49"/>
      <c r="H9" s="50"/>
    </row>
    <row r="10" spans="1:8" ht="12.75">
      <c r="A10" s="55" t="s">
        <v>67</v>
      </c>
      <c r="B10" s="52">
        <v>2.81</v>
      </c>
      <c r="C10" s="52">
        <v>6.125</v>
      </c>
      <c r="D10" s="52">
        <v>28.63</v>
      </c>
      <c r="E10" s="54">
        <f t="shared" si="0"/>
        <v>0.21960884301534875</v>
      </c>
      <c r="F10" s="54">
        <f t="shared" si="1"/>
        <v>1.0433964870312802</v>
      </c>
      <c r="G10" s="49"/>
      <c r="H10" s="50"/>
    </row>
    <row r="11" spans="1:8" ht="12.75">
      <c r="A11" s="55" t="s">
        <v>68</v>
      </c>
      <c r="B11" s="52"/>
      <c r="C11" s="52"/>
      <c r="D11" s="52"/>
      <c r="E11" s="54">
        <f t="shared" si="0"/>
        <v>0</v>
      </c>
      <c r="F11" s="54">
        <f t="shared" si="1"/>
        <v>0</v>
      </c>
      <c r="G11" s="49"/>
      <c r="H11" s="50"/>
    </row>
    <row r="12" spans="1:8" ht="12.75">
      <c r="A12" s="55" t="s">
        <v>67</v>
      </c>
      <c r="B12" s="52"/>
      <c r="C12" s="52"/>
      <c r="D12" s="52"/>
      <c r="E12" s="54">
        <f t="shared" si="0"/>
        <v>0</v>
      </c>
      <c r="F12" s="54">
        <f t="shared" si="1"/>
        <v>0</v>
      </c>
      <c r="G12" s="49"/>
      <c r="H12" s="50"/>
    </row>
    <row r="13" spans="1:8" ht="12.75">
      <c r="A13" s="55" t="s">
        <v>69</v>
      </c>
      <c r="B13" s="52"/>
      <c r="C13" s="52"/>
      <c r="D13" s="52"/>
      <c r="E13" s="54">
        <f t="shared" si="0"/>
        <v>0</v>
      </c>
      <c r="F13" s="54">
        <f t="shared" si="1"/>
        <v>0</v>
      </c>
      <c r="G13" s="49"/>
      <c r="H13" s="50"/>
    </row>
    <row r="14" spans="1:8" ht="12.75">
      <c r="A14" s="55"/>
      <c r="B14" s="52"/>
      <c r="C14" s="52"/>
      <c r="D14" s="52"/>
      <c r="E14" s="54">
        <f t="shared" si="0"/>
        <v>0</v>
      </c>
      <c r="F14" s="54">
        <f t="shared" si="1"/>
        <v>0</v>
      </c>
      <c r="G14" s="49"/>
      <c r="H14" s="50"/>
    </row>
    <row r="15" spans="1:8" ht="12.75">
      <c r="A15" s="55"/>
      <c r="B15" s="52"/>
      <c r="C15" s="52"/>
      <c r="D15" s="52"/>
      <c r="E15" s="54">
        <f t="shared" si="0"/>
        <v>0</v>
      </c>
      <c r="F15" s="54">
        <f t="shared" si="1"/>
        <v>0</v>
      </c>
      <c r="G15" s="49"/>
      <c r="H15" s="50"/>
    </row>
    <row r="16" spans="1:8" ht="12.75">
      <c r="A16" s="49"/>
      <c r="B16" s="49"/>
      <c r="C16" s="49" t="s">
        <v>70</v>
      </c>
      <c r="D16" s="49">
        <f>SUM(D4:D15)</f>
        <v>105.32</v>
      </c>
      <c r="E16" s="49"/>
      <c r="F16" s="49"/>
      <c r="G16" s="49"/>
      <c r="H16" s="50"/>
    </row>
    <row r="17" spans="1:8" ht="12.75">
      <c r="A17" s="49"/>
      <c r="B17" s="56" t="s">
        <v>71</v>
      </c>
      <c r="C17" s="56"/>
      <c r="D17" s="49"/>
      <c r="E17" s="49">
        <f>SUM(E4:E15)</f>
        <v>0.7010069875655721</v>
      </c>
      <c r="F17" s="57"/>
      <c r="G17" s="49"/>
      <c r="H17" s="50"/>
    </row>
    <row r="18" spans="1:8" ht="12.75">
      <c r="A18" s="49"/>
      <c r="B18" s="56" t="s">
        <v>72</v>
      </c>
      <c r="C18" s="56"/>
      <c r="D18" s="49"/>
      <c r="E18" s="49">
        <f>SUM(F4:F15)</f>
        <v>4.123694172576258</v>
      </c>
      <c r="F18" s="49"/>
      <c r="G18" s="49"/>
      <c r="H18" s="50"/>
    </row>
    <row r="19" spans="1:8" ht="12.75">
      <c r="A19" s="58"/>
      <c r="B19" s="50"/>
      <c r="C19" s="50"/>
      <c r="D19" s="50"/>
      <c r="E19" s="50"/>
      <c r="F19" s="50"/>
      <c r="G19" s="50"/>
      <c r="H19" s="50"/>
    </row>
    <row r="20" spans="2:8" ht="12.75">
      <c r="B20" s="50"/>
      <c r="C20" s="50"/>
      <c r="D20" s="50"/>
      <c r="E20" s="50"/>
      <c r="F20" s="50"/>
      <c r="G20" s="50"/>
      <c r="H20" s="50"/>
    </row>
    <row r="21" spans="1:8" ht="12.75">
      <c r="A21" s="50"/>
      <c r="B21" s="50"/>
      <c r="C21" s="50"/>
      <c r="D21" s="50"/>
      <c r="E21" s="50"/>
      <c r="F21" s="50"/>
      <c r="G21" s="50"/>
      <c r="H21" s="50"/>
    </row>
    <row r="22" spans="1:8" ht="12.75">
      <c r="A22" s="50"/>
      <c r="B22" s="50"/>
      <c r="C22" s="50"/>
      <c r="D22" s="50"/>
      <c r="E22" s="50"/>
      <c r="F22" s="50"/>
      <c r="G22" s="50"/>
      <c r="H22" s="50"/>
    </row>
    <row r="23" spans="1:8" ht="12.75">
      <c r="A23" s="50"/>
      <c r="B23" s="50"/>
      <c r="C23" s="50"/>
      <c r="D23" s="50"/>
      <c r="E23" s="50"/>
      <c r="F23" s="50"/>
      <c r="G23" s="50"/>
      <c r="H23" s="50"/>
    </row>
    <row r="24" spans="1:8" ht="12.75">
      <c r="A24" s="50"/>
      <c r="B24" s="50"/>
      <c r="C24" s="50"/>
      <c r="D24" s="50"/>
      <c r="E24" s="50"/>
      <c r="F24" s="50"/>
      <c r="G24" s="50"/>
      <c r="H24" s="50"/>
    </row>
    <row r="25" spans="1:8" ht="12.75">
      <c r="A25" s="50"/>
      <c r="B25" s="50"/>
      <c r="C25" s="50"/>
      <c r="D25" s="50"/>
      <c r="E25" s="50"/>
      <c r="F25" s="50"/>
      <c r="G25" s="50"/>
      <c r="H25" s="50"/>
    </row>
    <row r="26" spans="1:8" ht="12.75">
      <c r="A26" s="50"/>
      <c r="B26" s="50"/>
      <c r="C26" s="50"/>
      <c r="D26" s="50"/>
      <c r="E26" s="50"/>
      <c r="F26" s="50"/>
      <c r="G26" s="50"/>
      <c r="H26" s="50"/>
    </row>
    <row r="27" spans="1:8" ht="12.75">
      <c r="A27" s="50"/>
      <c r="B27" s="50"/>
      <c r="C27" s="50"/>
      <c r="D27" s="50"/>
      <c r="E27" s="50"/>
      <c r="F27" s="50"/>
      <c r="G27" s="50"/>
      <c r="H27" s="50"/>
    </row>
    <row r="28" spans="1:8" ht="12.75">
      <c r="A28" s="50"/>
      <c r="B28" s="50"/>
      <c r="C28" s="50"/>
      <c r="D28" s="50"/>
      <c r="E28" s="50"/>
      <c r="F28" s="50"/>
      <c r="G28" s="50"/>
      <c r="H28" s="50"/>
    </row>
    <row r="29" spans="1:8" ht="12.75">
      <c r="A29" s="50"/>
      <c r="B29" s="50"/>
      <c r="C29" s="50"/>
      <c r="D29" s="50"/>
      <c r="E29" s="50"/>
      <c r="F29" s="50"/>
      <c r="G29" s="50"/>
      <c r="H29" s="50"/>
    </row>
    <row r="30" ht="12.75">
      <c r="A30" s="50"/>
    </row>
  </sheetData>
  <mergeCells count="3">
    <mergeCell ref="A1:G1"/>
    <mergeCell ref="B17:C17"/>
    <mergeCell ref="B18:C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6" sqref="B16"/>
    </sheetView>
  </sheetViews>
  <sheetFormatPr defaultColWidth="9.140625" defaultRowHeight="12.75"/>
  <cols>
    <col min="1" max="1" width="11.7109375" style="0" customWidth="1"/>
  </cols>
  <sheetData>
    <row r="1" ht="12.75">
      <c r="B1" t="s">
        <v>73</v>
      </c>
    </row>
    <row r="4" spans="2:7" ht="24.75">
      <c r="B4" s="59" t="s">
        <v>73</v>
      </c>
      <c r="C4" s="59"/>
      <c r="D4" s="59"/>
      <c r="E4" s="59"/>
      <c r="F4" s="59"/>
      <c r="G4" s="59"/>
    </row>
    <row r="6" spans="1:2" ht="12.75">
      <c r="A6" s="60" t="s">
        <v>74</v>
      </c>
      <c r="B6" s="43">
        <v>4.5</v>
      </c>
    </row>
    <row r="7" spans="1:2" ht="12.75">
      <c r="A7" s="60" t="s">
        <v>75</v>
      </c>
      <c r="B7" s="43">
        <v>3.826</v>
      </c>
    </row>
    <row r="8" ht="12.75">
      <c r="A8" s="60"/>
    </row>
    <row r="9" ht="12.75">
      <c r="A9" s="60"/>
    </row>
    <row r="10" spans="1:2" ht="12.75">
      <c r="A10" s="60" t="s">
        <v>76</v>
      </c>
      <c r="B10" s="60">
        <f>(B7*B7)/1029.4</f>
        <v>0.014220202059452108</v>
      </c>
    </row>
    <row r="11" spans="1:2" ht="12.75">
      <c r="A11" s="60" t="s">
        <v>77</v>
      </c>
      <c r="B11" s="60">
        <f>(B6*B6)/1029.4</f>
        <v>0.019671653390324458</v>
      </c>
    </row>
  </sheetData>
  <mergeCells count="1"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I14" sqref="I14"/>
    </sheetView>
  </sheetViews>
  <sheetFormatPr defaultColWidth="9.140625" defaultRowHeight="12.75"/>
  <sheetData>
    <row r="1" spans="1:4" ht="12.75">
      <c r="A1" s="61"/>
      <c r="B1" s="61" t="s">
        <v>78</v>
      </c>
      <c r="C1" s="61" t="s">
        <v>79</v>
      </c>
      <c r="D1" s="61" t="s">
        <v>80</v>
      </c>
    </row>
    <row r="2" spans="1:10" ht="12.75">
      <c r="A2" s="61" t="s">
        <v>81</v>
      </c>
      <c r="B2" s="62">
        <f>I14</f>
        <v>0.09141660000000001</v>
      </c>
      <c r="C2" s="43">
        <f aca="true" t="shared" si="0" ref="C2:D4">C8</f>
        <v>4.041576000000001</v>
      </c>
      <c r="D2" s="38">
        <f t="shared" si="0"/>
        <v>0.95</v>
      </c>
      <c r="J2" t="s">
        <v>82</v>
      </c>
    </row>
    <row r="3" spans="1:4" ht="12.75">
      <c r="A3" s="61" t="s">
        <v>83</v>
      </c>
      <c r="B3" s="62">
        <f>I14</f>
        <v>0.09141660000000001</v>
      </c>
      <c r="C3" s="43">
        <f t="shared" si="0"/>
        <v>4.041576000000001</v>
      </c>
      <c r="D3" s="38">
        <f t="shared" si="0"/>
        <v>0.95</v>
      </c>
    </row>
    <row r="4" spans="1:4" ht="12.75">
      <c r="A4" s="61" t="s">
        <v>84</v>
      </c>
      <c r="B4" s="62">
        <f>C4/48.3*D4</f>
        <v>0</v>
      </c>
      <c r="C4" s="43">
        <f t="shared" si="0"/>
        <v>0</v>
      </c>
      <c r="D4" s="38">
        <f t="shared" si="0"/>
        <v>0</v>
      </c>
    </row>
    <row r="5" spans="1:4" ht="12.75">
      <c r="A5" s="39"/>
      <c r="B5" s="39"/>
      <c r="C5" s="39"/>
      <c r="D5" s="39"/>
    </row>
    <row r="6" spans="1:4" ht="12.75">
      <c r="A6" s="39"/>
      <c r="B6" s="39"/>
      <c r="C6" s="39"/>
      <c r="D6" s="39"/>
    </row>
    <row r="7" spans="1:4" ht="13.5">
      <c r="A7" s="63" t="s">
        <v>85</v>
      </c>
      <c r="B7" s="64" t="s">
        <v>86</v>
      </c>
      <c r="C7" s="61" t="s">
        <v>79</v>
      </c>
      <c r="D7" s="61" t="s">
        <v>80</v>
      </c>
    </row>
    <row r="8" spans="1:4" ht="12.75">
      <c r="A8" s="50">
        <v>1</v>
      </c>
      <c r="B8" s="65">
        <f>I14</f>
        <v>0.09141660000000001</v>
      </c>
      <c r="C8" s="43">
        <f>((B8/D8)*42)</f>
        <v>4.041576000000001</v>
      </c>
      <c r="D8" s="43">
        <v>0.95</v>
      </c>
    </row>
    <row r="9" spans="1:4" ht="12.75">
      <c r="A9" s="50">
        <v>2</v>
      </c>
      <c r="B9" s="65">
        <f>I14</f>
        <v>0.09141660000000001</v>
      </c>
      <c r="C9" s="43">
        <f>((B9/D9)*42)</f>
        <v>4.041576000000001</v>
      </c>
      <c r="D9" s="43">
        <v>0.95</v>
      </c>
    </row>
    <row r="10" spans="1:4" ht="12.75">
      <c r="A10" s="50"/>
      <c r="C10" s="43"/>
      <c r="D10" s="43"/>
    </row>
    <row r="11" ht="12.75">
      <c r="A11" s="50"/>
    </row>
    <row r="12" spans="1:3" ht="12.75">
      <c r="A12" s="50"/>
      <c r="C12" s="43"/>
    </row>
    <row r="13" spans="1:10" ht="12.75">
      <c r="A13" s="66" t="s">
        <v>87</v>
      </c>
      <c r="B13" s="67"/>
      <c r="C13" s="67"/>
      <c r="D13" s="67"/>
      <c r="E13" s="68"/>
      <c r="F13" s="69" t="s">
        <v>88</v>
      </c>
      <c r="G13" s="69" t="s">
        <v>89</v>
      </c>
      <c r="H13" s="69" t="s">
        <v>90</v>
      </c>
      <c r="I13" s="68" t="s">
        <v>91</v>
      </c>
      <c r="J13" s="70"/>
    </row>
    <row r="14" spans="1:10" ht="12.75">
      <c r="A14" s="71" t="s">
        <v>92</v>
      </c>
      <c r="B14" s="72"/>
      <c r="C14" s="72"/>
      <c r="D14" s="72"/>
      <c r="E14" s="73"/>
      <c r="F14" s="74">
        <v>6</v>
      </c>
      <c r="G14" s="74">
        <v>11</v>
      </c>
      <c r="H14" s="74">
        <v>0.95</v>
      </c>
      <c r="I14" s="75">
        <f>0.000243*F14*F14*G14*H14</f>
        <v>0.09141660000000001</v>
      </c>
      <c r="J14" s="76" t="s">
        <v>93</v>
      </c>
    </row>
    <row r="15" spans="1:10" ht="12.75">
      <c r="A15" s="50"/>
      <c r="F15" s="77"/>
      <c r="G15" s="77"/>
      <c r="H15" s="77"/>
      <c r="I15" s="77"/>
      <c r="J15" s="78"/>
    </row>
    <row r="16" ht="12.75">
      <c r="A16" s="50"/>
    </row>
    <row r="17" ht="12.75">
      <c r="A17" s="50"/>
    </row>
    <row r="18" spans="1:11" ht="13.5">
      <c r="A18" s="79" t="s">
        <v>94</v>
      </c>
      <c r="J18" s="50"/>
      <c r="K18" s="50"/>
    </row>
    <row r="19" spans="7:11" ht="12.75">
      <c r="G19" s="39"/>
      <c r="J19" s="50"/>
      <c r="K19" s="50"/>
    </row>
    <row r="20" spans="10:11" ht="12.75">
      <c r="J20" s="50"/>
      <c r="K20" s="50"/>
    </row>
    <row r="21" spans="10:11" ht="13.5">
      <c r="J21" s="80"/>
      <c r="K21" s="81"/>
    </row>
    <row r="22" spans="1:5" ht="12.75">
      <c r="A22" t="s">
        <v>81</v>
      </c>
      <c r="B22" s="82">
        <v>2.9488421052631577</v>
      </c>
      <c r="C22" t="s">
        <v>95</v>
      </c>
      <c r="D22" s="83">
        <f>B22/42</f>
        <v>0.07021052631578947</v>
      </c>
      <c r="E22" t="s">
        <v>96</v>
      </c>
    </row>
    <row r="23" spans="1:5" ht="12.75">
      <c r="A23" t="s">
        <v>83</v>
      </c>
      <c r="B23" s="82">
        <v>2.059</v>
      </c>
      <c r="C23" t="s">
        <v>95</v>
      </c>
      <c r="D23" s="83">
        <f>B23/42</f>
        <v>0.049023809523809525</v>
      </c>
      <c r="E23" t="s">
        <v>96</v>
      </c>
    </row>
    <row r="24" spans="1:5" ht="12.75">
      <c r="A24" t="s">
        <v>84</v>
      </c>
      <c r="B24" s="82">
        <v>0</v>
      </c>
      <c r="C24" t="s">
        <v>95</v>
      </c>
      <c r="D24" s="83">
        <f>B24/42</f>
        <v>0</v>
      </c>
      <c r="E24" t="s">
        <v>96</v>
      </c>
    </row>
    <row r="26" spans="1:5" ht="13.5">
      <c r="A26" s="84" t="s">
        <v>97</v>
      </c>
      <c r="B26" s="50"/>
      <c r="E26" s="85" t="s">
        <v>98</v>
      </c>
    </row>
    <row r="27" spans="1:5" ht="13.5">
      <c r="A27" s="84" t="s">
        <v>99</v>
      </c>
      <c r="B27" s="81"/>
      <c r="E27" s="85" t="s">
        <v>100</v>
      </c>
    </row>
    <row r="28" spans="1:5" ht="13.5">
      <c r="A28" s="86" t="s">
        <v>101</v>
      </c>
      <c r="B28" s="50"/>
      <c r="E28" s="85" t="s">
        <v>102</v>
      </c>
    </row>
    <row r="29" spans="1:5" ht="13.5">
      <c r="A29" s="86" t="s">
        <v>103</v>
      </c>
      <c r="B29" s="50"/>
      <c r="E29" s="85" t="s">
        <v>104</v>
      </c>
    </row>
    <row r="30" spans="1:5" ht="13.5">
      <c r="A30" s="87"/>
      <c r="B30" s="50"/>
      <c r="E30" s="85" t="s">
        <v>105</v>
      </c>
    </row>
    <row r="31" spans="1:5" ht="13.5">
      <c r="A31" s="87"/>
      <c r="B31" s="50"/>
      <c r="E31" s="85" t="s">
        <v>106</v>
      </c>
    </row>
    <row r="32" spans="1:3" ht="13.5">
      <c r="A32" s="87"/>
      <c r="B32" s="50"/>
      <c r="C32" s="85"/>
    </row>
    <row r="33" spans="1:11" ht="13.5">
      <c r="A33" s="86" t="s">
        <v>107</v>
      </c>
      <c r="B33" s="50"/>
      <c r="C33" s="85"/>
      <c r="D33" t="s">
        <v>95</v>
      </c>
      <c r="J33" s="88"/>
      <c r="K33" s="50"/>
    </row>
    <row r="34" spans="1:4" ht="13.5">
      <c r="A34" s="86" t="s">
        <v>108</v>
      </c>
      <c r="B34" s="50"/>
      <c r="C34" s="85"/>
      <c r="D34" t="s">
        <v>109</v>
      </c>
    </row>
    <row r="35" spans="1:4" ht="13.5">
      <c r="A35" s="86" t="s">
        <v>110</v>
      </c>
      <c r="B35" s="50"/>
      <c r="C35" s="85"/>
      <c r="D35" t="s">
        <v>111</v>
      </c>
    </row>
    <row r="36" spans="1:6" ht="13.5">
      <c r="A36" s="86" t="s">
        <v>112</v>
      </c>
      <c r="B36" s="50"/>
      <c r="C36" s="85"/>
      <c r="D36" t="s">
        <v>113</v>
      </c>
      <c r="F36" t="s">
        <v>114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</dc:creator>
  <cp:keywords/>
  <dc:description/>
  <cp:lastModifiedBy/>
  <dcterms:created xsi:type="dcterms:W3CDTF">2011-03-21T13:54:30Z</dcterms:created>
  <dcterms:modified xsi:type="dcterms:W3CDTF">2012-02-15T19:38:30Z</dcterms:modified>
  <cp:category/>
  <cp:version/>
  <cp:contentType/>
  <cp:contentStatus/>
  <cp:revision>3</cp:revision>
</cp:coreProperties>
</file>